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p tabl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<sst xmlns="http://schemas.openxmlformats.org/spreadsheetml/2006/main" count="68" uniqueCount="64">
  <si>
    <t xml:space="preserve">Cap table template</t>
  </si>
  <si>
    <t xml:space="preserve">Finance for Quantum, founder workspace</t>
  </si>
  <si>
    <t xml:space="preserve">Replace placeholder names and inputs in blue. Black cells are formulas, do not edit. Yellow cells are key assumptions to challenge. Checks at the bottom must all show green.</t>
  </si>
  <si>
    <t xml:space="preserve">Initial state</t>
  </si>
  <si>
    <t xml:space="preserve">SAFEs in flight</t>
  </si>
  <si>
    <t xml:space="preserve">Round 1 . Pre-Seed equity (SAFEs convert, pool top-up)</t>
  </si>
  <si>
    <t xml:space="preserve">Round 2 . Series A equity</t>
  </si>
  <si>
    <t xml:space="preserve">Exit ROI</t>
  </si>
  <si>
    <t xml:space="preserve">Holder</t>
  </si>
  <si>
    <t xml:space="preserve"># Shares</t>
  </si>
  <si>
    <t xml:space="preserve">% outstanding</t>
  </si>
  <si>
    <t xml:space="preserve">% fully diluted</t>
  </si>
  <si>
    <t xml:space="preserve">Amount invested</t>
  </si>
  <si>
    <t xml:space="preserve">Valuation cap</t>
  </si>
  <si>
    <t xml:space="preserve">Discount</t>
  </si>
  <si>
    <t xml:space="preserve">SAFE conv. shares</t>
  </si>
  <si>
    <t xml:space="preserve">Pool top-up shares</t>
  </si>
  <si>
    <t xml:space="preserve">Money invested</t>
  </si>
  <si>
    <t xml:space="preserve"># Shares (post)</t>
  </si>
  <si>
    <t xml:space="preserve">New shares</t>
  </si>
  <si>
    <t xml:space="preserve">Dilution vs R1</t>
  </si>
  <si>
    <t xml:space="preserve">Value per holder</t>
  </si>
  <si>
    <t xml:space="preserve">Multiple on inv.</t>
  </si>
  <si>
    <t xml:space="preserve">Founders</t>
  </si>
  <si>
    <t xml:space="preserve">Founder A</t>
  </si>
  <si>
    <t xml:space="preserve">Founder B</t>
  </si>
  <si>
    <t xml:space="preserve">Founder C</t>
  </si>
  <si>
    <t xml:space="preserve">Founders subtotal</t>
  </si>
  <si>
    <t xml:space="preserve">Option pool</t>
  </si>
  <si>
    <t xml:space="preserve">  Allocated</t>
  </si>
  <si>
    <t xml:space="preserve">  Hire A (CTO)</t>
  </si>
  <si>
    <t xml:space="preserve">  Hire B (eng)</t>
  </si>
  <si>
    <t xml:space="preserve">  Hire C (sales)</t>
  </si>
  <si>
    <t xml:space="preserve">  Future hires / reserve</t>
  </si>
  <si>
    <t xml:space="preserve">  Unallocated</t>
  </si>
  <si>
    <t xml:space="preserve">Option pool total</t>
  </si>
  <si>
    <t xml:space="preserve">SAFE investors</t>
  </si>
  <si>
    <t xml:space="preserve">SAFE investor 1</t>
  </si>
  <si>
    <t xml:space="preserve">SAFE investor 2</t>
  </si>
  <si>
    <t xml:space="preserve">SAFE investor 3</t>
  </si>
  <si>
    <t xml:space="preserve">SAFE subtotal</t>
  </si>
  <si>
    <t xml:space="preserve">Pre-Seed investors</t>
  </si>
  <si>
    <t xml:space="preserve">  Pre-Seed equity investors</t>
  </si>
  <si>
    <t xml:space="preserve">Series A investors</t>
  </si>
  <si>
    <t xml:space="preserve">  Series A equity investors</t>
  </si>
  <si>
    <t xml:space="preserve">Total</t>
  </si>
  <si>
    <t xml:space="preserve">Assumptions</t>
  </si>
  <si>
    <t xml:space="preserve">Currency</t>
  </si>
  <si>
    <t xml:space="preserve">CAD</t>
  </si>
  <si>
    <t xml:space="preserve">Round 1 (Pre-Seed) pre-money</t>
  </si>
  <si>
    <t xml:space="preserve">Round 1 price per share</t>
  </si>
  <si>
    <t xml:space="preserve">Round 1 post-money</t>
  </si>
  <si>
    <t xml:space="preserve">Round 2 (Series A) pre-money</t>
  </si>
  <si>
    <t xml:space="preserve">Round 2 price per share</t>
  </si>
  <si>
    <t xml:space="preserve">Target pool % post Round 1</t>
  </si>
  <si>
    <t xml:space="preserve">Exit valuation</t>
  </si>
  <si>
    <t xml:space="preserve">R1 price, cap-only basis (SAFE binding helper)</t>
  </si>
  <si>
    <t xml:space="preserve">Sanity checks</t>
  </si>
  <si>
    <t xml:space="preserve">Initial % FD = 100%</t>
  </si>
  <si>
    <t xml:space="preserve">Post Round 1 % FD = 100%</t>
  </si>
  <si>
    <t xml:space="preserve">Post Round 2 % FD = 100%</t>
  </si>
  <si>
    <t xml:space="preserve">Pool % post R1 hits target</t>
  </si>
  <si>
    <t xml:space="preserve">Round 1 cash invested matches money col</t>
  </si>
  <si>
    <t xml:space="preserve">Round 2 cash invested matches money col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</si>
</sst>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;\(#,##0\);\-"/>
    <numFmt numFmtId="166" formatCode="0.0%;\(0.0%\);\-"/>
    <numFmt numFmtId="167" formatCode="\$#,##0;&quot;($&quot;#,##0\);\-"/>
    <numFmt numFmtId="168" formatCode="#,##0;\(#,##0\);\-"/>
    <numFmt numFmtId="169" formatCode="0.0\x"/>
    <numFmt numFmtId="170" formatCode="\$0.0000"/>
    <numFmt numFmtId="171" formatCode="\$0.0000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A1628"/>
      <name val="Calibri"/>
      <family val="2"/>
      <charset val="1"/>
    </font>
    <font>
      <b val="true"/>
      <sz val="9"/>
      <color rgb="FF6D28D9"/>
      <name val="Calibri"/>
      <family val="2"/>
      <charset val="1"/>
    </font>
    <font>
      <i val="true"/>
      <sz val="11"/>
      <color rgb="FF6B7280"/>
      <name val="Calibri"/>
      <family val="2"/>
      <charset val="1"/>
    </font>
    <font>
      <b val="true"/>
      <sz val="12"/>
      <color rgb="FF0A1628"/>
      <name val="Calibri"/>
      <family val="2"/>
      <charset val="1"/>
    </font>
    <font>
      <b val="true"/>
      <sz val="11"/>
      <color rgb="FF0A1628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6B7280"/>
      <name val="Calibri"/>
      <family val="2"/>
      <charset val="1"/>
    </font>
    <font>
      <sz val="11"/>
      <color rgb="FF000000"/>
      <name val="Calibri"/>
      <family val="0"/>
      <charset val="1"/>
    </font>
    <font>
      <b val="true"/>
      <sz val="11"/>
      <color rgb="FFFFFFFF"/>
      <name val="Calibri"/>
      <family val="2"/>
      <charset val="1"/>
    </font>
    <font>
      <i val="true"/>
      <sz val="10"/>
      <color rgb="FF6B7280"/>
      <name val="Calibri"/>
      <family val="0"/>
      <charset val="1"/>
    </font>
    <font>
      <b val="true"/>
      <sz val="12"/>
      <color rgb="FF047857"/>
      <name val="Calibri"/>
      <family val="2"/>
      <charset val="1"/>
    </font>
    <font>
      <b val="true"/>
      <sz val="10"/>
      <color rgb="FF047857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EEEAE1"/>
        <bgColor rgb="FFF9F6F0"/>
      </patternFill>
    </fill>
    <fill>
      <patternFill patternType="solid">
        <fgColor rgb="FFF9F6F0"/>
        <bgColor rgb="FFFFFFFF"/>
      </patternFill>
    </fill>
    <fill>
      <patternFill patternType="solid">
        <fgColor rgb="FFFFF7D6"/>
        <bgColor rgb="FFF9F6F0"/>
      </patternFill>
    </fill>
    <fill>
      <patternFill patternType="solid">
        <fgColor rgb="FF0A1628"/>
        <bgColor rgb="FF000000"/>
      </patternFill>
    </fill>
    <fill>
      <patternFill patternType="solid">
        <fgColor rgb="FFD1FAE5"/>
        <bgColor rgb="FFEEEAE1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C9C5B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47857"/>
      <rgbColor rgb="FFC9C5BD"/>
      <rgbColor rgb="FF808080"/>
      <rgbColor rgb="FF9999FF"/>
      <rgbColor rgb="FF993366"/>
      <rgbColor rgb="FFFFF7D6"/>
      <rgbColor rgb="FFF9F6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AE1"/>
      <rgbColor rgb="FFD1FA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A1628"/>
      <rgbColor rgb="FF333300"/>
      <rgbColor rgb="FF993300"/>
      <rgbColor rgb="FF993366"/>
      <rgbColor rgb="FF6D28D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X4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5" ySplit="7" topLeftCell="F36" activePane="bottomRight" state="frozen"/>
      <selection pane="topLeft" activeCell="A1" activeCellId="0" sqref="A1"/>
      <selection pane="topRight" activeCell="F1" activeCellId="0" sqref="F1"/>
      <selection pane="bottomLeft" activeCell="A36" activeCellId="0" sqref="A36"/>
      <selection pane="bottomRight" activeCell="A7" activeCellId="0" sqref="A7"/>
    </sheetView>
  </sheetViews>
  <sheetFormatPr defaultColWidth="8.6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13"/>
    <col collapsed="false" customWidth="true" hidden="false" outlineLevel="0" max="5" min="4" style="0" width="11"/>
    <col collapsed="false" customWidth="true" hidden="false" outlineLevel="0" max="6" min="6" style="0" width="2"/>
    <col collapsed="false" customWidth="true" hidden="false" outlineLevel="0" max="8" min="7" style="0" width="14"/>
    <col collapsed="false" customWidth="true" hidden="false" outlineLevel="0" max="9" min="9" style="0" width="11"/>
    <col collapsed="false" customWidth="true" hidden="false" outlineLevel="0" max="10" min="10" style="0" width="2"/>
    <col collapsed="false" customWidth="true" hidden="false" outlineLevel="0" max="13" min="11" style="0" width="13"/>
    <col collapsed="false" customWidth="true" hidden="false" outlineLevel="0" max="15" min="14" style="0" width="11"/>
    <col collapsed="false" customWidth="true" hidden="false" outlineLevel="0" max="16" min="16" style="0" width="2"/>
    <col collapsed="false" customWidth="true" hidden="false" outlineLevel="0" max="17" min="17" style="0" width="14"/>
    <col collapsed="false" customWidth="true" hidden="false" outlineLevel="0" max="19" min="18" style="0" width="13"/>
    <col collapsed="false" customWidth="true" hidden="false" outlineLevel="0" max="21" min="20" style="0" width="11"/>
    <col collapsed="false" customWidth="true" hidden="false" outlineLevel="0" max="22" min="22" style="0" width="2"/>
    <col collapsed="false" customWidth="true" hidden="false" outlineLevel="0" max="24" min="23" style="0" width="11"/>
  </cols>
  <sheetData>
    <row r="2" customFormat="false" ht="27.75" hidden="false" customHeight="true" outlineLevel="0" collapsed="false">
      <c r="B2" s="1" t="s">
        <v>0</v>
      </c>
    </row>
    <row r="3" customFormat="false" ht="15" hidden="false" customHeight="true" outlineLevel="0" collapsed="false">
      <c r="B3" s="2" t="s">
        <v>1</v>
      </c>
    </row>
    <row r="4" customFormat="false" ht="31.5" hidden="false" customHeight="true" outlineLevel="0" collapsed="false"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6" customFormat="false" ht="21.75" hidden="false" customHeight="true" outlineLevel="0" collapsed="false">
      <c r="B6" s="4" t="s">
        <v>3</v>
      </c>
      <c r="C6" s="4"/>
      <c r="D6" s="4"/>
      <c r="E6" s="4"/>
      <c r="G6" s="4" t="s">
        <v>4</v>
      </c>
      <c r="H6" s="4"/>
      <c r="I6" s="4"/>
      <c r="K6" s="4" t="s">
        <v>5</v>
      </c>
      <c r="L6" s="4"/>
      <c r="M6" s="4"/>
      <c r="N6" s="4"/>
      <c r="O6" s="4"/>
      <c r="Q6" s="4" t="s">
        <v>6</v>
      </c>
      <c r="R6" s="4"/>
      <c r="S6" s="4"/>
      <c r="T6" s="4"/>
      <c r="U6" s="4"/>
      <c r="W6" s="4" t="s">
        <v>7</v>
      </c>
      <c r="X6" s="4"/>
    </row>
    <row r="7" s="5" customFormat="true" ht="31.5" hidden="false" customHeight="true" outlineLevel="0" collapsed="false">
      <c r="B7" s="6" t="s">
        <v>8</v>
      </c>
      <c r="C7" s="6" t="s">
        <v>9</v>
      </c>
      <c r="D7" s="6" t="s">
        <v>10</v>
      </c>
      <c r="E7" s="6" t="s">
        <v>11</v>
      </c>
      <c r="G7" s="6" t="s">
        <v>12</v>
      </c>
      <c r="H7" s="6" t="s">
        <v>13</v>
      </c>
      <c r="I7" s="6" t="s">
        <v>14</v>
      </c>
      <c r="K7" s="6" t="s">
        <v>15</v>
      </c>
      <c r="L7" s="6" t="s">
        <v>16</v>
      </c>
      <c r="M7" s="6" t="s">
        <v>17</v>
      </c>
      <c r="N7" s="6" t="s">
        <v>18</v>
      </c>
      <c r="O7" s="6" t="s">
        <v>11</v>
      </c>
      <c r="Q7" s="6" t="s">
        <v>17</v>
      </c>
      <c r="R7" s="6" t="s">
        <v>19</v>
      </c>
      <c r="S7" s="6" t="s">
        <v>18</v>
      </c>
      <c r="T7" s="6" t="s">
        <v>11</v>
      </c>
      <c r="U7" s="6" t="s">
        <v>20</v>
      </c>
      <c r="W7" s="6" t="s">
        <v>21</v>
      </c>
      <c r="X7" s="6" t="s">
        <v>22</v>
      </c>
    </row>
    <row r="9" customFormat="false" ht="15" hidden="false" customHeight="true" outlineLevel="0" collapsed="false">
      <c r="B9" s="7" t="s">
        <v>23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customFormat="false" ht="15" hidden="false" customHeight="true" outlineLevel="0" collapsed="false">
      <c r="B10" s="9" t="s">
        <v>24</v>
      </c>
      <c r="C10" s="10" t="n">
        <v>4000000</v>
      </c>
      <c r="D10" s="11" t="n">
        <f aca="false">C10/($C$31-$C$20-$C$26)</f>
        <v>0.382775119617225</v>
      </c>
      <c r="E10" s="11" t="n">
        <f aca="false">C10/C$31</f>
        <v>0.333333333333333</v>
      </c>
      <c r="K10" s="12" t="n">
        <v>0</v>
      </c>
      <c r="L10" s="12" t="n">
        <v>0</v>
      </c>
      <c r="M10" s="13" t="n">
        <v>0</v>
      </c>
      <c r="N10" s="12" t="n">
        <f aca="false">C10+K10+L10+IFERROR(M10/$M$36,0)</f>
        <v>4000000</v>
      </c>
      <c r="O10" s="11" t="n">
        <f aca="false">N10/N$31</f>
        <v>0.254119515584673</v>
      </c>
      <c r="Q10" s="13" t="n">
        <v>0</v>
      </c>
      <c r="R10" s="12" t="n">
        <f aca="false">IFERROR(Q10/$Q$39,0)</f>
        <v>0</v>
      </c>
      <c r="S10" s="12" t="n">
        <f aca="false">N10+R10</f>
        <v>4000000</v>
      </c>
      <c r="T10" s="11" t="n">
        <f aca="false">S10/S$31</f>
        <v>0.175254838334258</v>
      </c>
      <c r="U10" s="11" t="n">
        <f aca="false">IFERROR((T10-O10)/O10,0)</f>
        <v>-0.310344827586207</v>
      </c>
      <c r="W10" s="13" t="n">
        <f aca="false">S10*$Q$41/S$31</f>
        <v>52576451.5002773</v>
      </c>
    </row>
    <row r="11" customFormat="false" ht="15" hidden="false" customHeight="true" outlineLevel="0" collapsed="false">
      <c r="B11" s="9" t="s">
        <v>25</v>
      </c>
      <c r="C11" s="10" t="n">
        <v>4000000</v>
      </c>
      <c r="D11" s="11" t="n">
        <f aca="false">C11/($C$31-$C$20-$C$26)</f>
        <v>0.382775119617225</v>
      </c>
      <c r="E11" s="11" t="n">
        <f aca="false">C11/C$31</f>
        <v>0.333333333333333</v>
      </c>
      <c r="K11" s="12" t="n">
        <v>0</v>
      </c>
      <c r="L11" s="12" t="n">
        <v>0</v>
      </c>
      <c r="M11" s="13" t="n">
        <v>0</v>
      </c>
      <c r="N11" s="12" t="n">
        <f aca="false">C11+K11+L11+IFERROR(M11/$M$36,0)</f>
        <v>4000000</v>
      </c>
      <c r="O11" s="11" t="n">
        <f aca="false">N11/N$31</f>
        <v>0.254119515584673</v>
      </c>
      <c r="Q11" s="13" t="n">
        <v>0</v>
      </c>
      <c r="R11" s="12" t="n">
        <f aca="false">IFERROR(Q11/$Q$39,0)</f>
        <v>0</v>
      </c>
      <c r="S11" s="12" t="n">
        <f aca="false">N11+R11</f>
        <v>4000000</v>
      </c>
      <c r="T11" s="11" t="n">
        <f aca="false">S11/S$31</f>
        <v>0.175254838334258</v>
      </c>
      <c r="U11" s="11" t="n">
        <f aca="false">IFERROR((T11-O11)/O11,0)</f>
        <v>-0.310344827586207</v>
      </c>
      <c r="W11" s="13" t="n">
        <f aca="false">S11*$Q$41/S$31</f>
        <v>52576451.5002773</v>
      </c>
    </row>
    <row r="12" customFormat="false" ht="15" hidden="false" customHeight="true" outlineLevel="0" collapsed="false">
      <c r="B12" s="9" t="s">
        <v>26</v>
      </c>
      <c r="C12" s="10" t="n">
        <v>2000000</v>
      </c>
      <c r="D12" s="11" t="n">
        <f aca="false">C12/($C$31-$C$20-$C$26)</f>
        <v>0.191387559808612</v>
      </c>
      <c r="E12" s="11" t="n">
        <f aca="false">C12/C$31</f>
        <v>0.166666666666667</v>
      </c>
      <c r="K12" s="12" t="n">
        <v>0</v>
      </c>
      <c r="L12" s="12" t="n">
        <v>0</v>
      </c>
      <c r="M12" s="13" t="n">
        <v>0</v>
      </c>
      <c r="N12" s="12" t="n">
        <f aca="false">C12+K12+L12+IFERROR(M12/$M$36,0)</f>
        <v>2000000</v>
      </c>
      <c r="O12" s="11" t="n">
        <f aca="false">N12/N$31</f>
        <v>0.127059757792337</v>
      </c>
      <c r="Q12" s="13" t="n">
        <v>0</v>
      </c>
      <c r="R12" s="12" t="n">
        <f aca="false">IFERROR(Q12/$Q$39,0)</f>
        <v>0</v>
      </c>
      <c r="S12" s="12" t="n">
        <f aca="false">N12+R12</f>
        <v>2000000</v>
      </c>
      <c r="T12" s="11" t="n">
        <f aca="false">S12/S$31</f>
        <v>0.0876274191671288</v>
      </c>
      <c r="U12" s="11" t="n">
        <f aca="false">IFERROR((T12-O12)/O12,0)</f>
        <v>-0.310344827586207</v>
      </c>
      <c r="W12" s="13" t="n">
        <f aca="false">S12*$Q$41/S$31</f>
        <v>26288225.7501386</v>
      </c>
    </row>
    <row r="13" customFormat="false" ht="15" hidden="false" customHeight="true" outlineLevel="0" collapsed="false">
      <c r="B13" s="14" t="s">
        <v>27</v>
      </c>
      <c r="C13" s="15" t="n">
        <f aca="false">SUM(C10:C12)</f>
        <v>10000000</v>
      </c>
      <c r="D13" s="16" t="n">
        <f aca="false">SUM(D10:D12)</f>
        <v>0.956937799043062</v>
      </c>
      <c r="E13" s="16" t="n">
        <f aca="false">C13/C$31</f>
        <v>0.833333333333333</v>
      </c>
      <c r="K13" s="17" t="n">
        <f aca="false">SUM(K10:K12)</f>
        <v>0</v>
      </c>
      <c r="L13" s="17" t="n">
        <f aca="false">SUM(L10:L12)</f>
        <v>0</v>
      </c>
      <c r="M13" s="18" t="n">
        <f aca="false">SUM(M10:M12)</f>
        <v>0</v>
      </c>
      <c r="N13" s="17" t="n">
        <f aca="false">SUM(N10:N12)</f>
        <v>10000000</v>
      </c>
      <c r="O13" s="19" t="n">
        <f aca="false">N13/N$31</f>
        <v>0.635298788961684</v>
      </c>
      <c r="Q13" s="18" t="n">
        <f aca="false">SUM(Q10:Q12)</f>
        <v>0</v>
      </c>
      <c r="R13" s="12" t="n">
        <f aca="false">IFERROR(Q13/$Q$39,0)</f>
        <v>0</v>
      </c>
      <c r="S13" s="17" t="n">
        <f aca="false">SUM(S10:S12)</f>
        <v>10000000</v>
      </c>
      <c r="T13" s="19" t="n">
        <f aca="false">S13/S$31</f>
        <v>0.438137095835644</v>
      </c>
      <c r="U13" s="19" t="n">
        <f aca="false">IFERROR((T13-O13)/O13,0)</f>
        <v>-0.310344827586207</v>
      </c>
      <c r="W13" s="13" t="n">
        <f aca="false">S13*$Q$41/S$31</f>
        <v>131441128.750693</v>
      </c>
    </row>
    <row r="14" customFormat="false" ht="15" hidden="false" customHeight="true" outlineLevel="0" collapsed="false">
      <c r="B14" s="7" t="s">
        <v>28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customFormat="false" ht="15" hidden="false" customHeight="true" outlineLevel="0" collapsed="false">
      <c r="B15" s="20" t="s">
        <v>29</v>
      </c>
    </row>
    <row r="16" customFormat="false" ht="15" hidden="false" customHeight="true" outlineLevel="0" collapsed="false">
      <c r="B16" s="9" t="s">
        <v>30</v>
      </c>
      <c r="C16" s="10" t="n">
        <v>200000</v>
      </c>
      <c r="D16" s="11" t="n">
        <f aca="false">C16/($C$31-$C$20-$C$26)</f>
        <v>0.0191387559808612</v>
      </c>
      <c r="E16" s="11" t="n">
        <f aca="false">C16/C$31</f>
        <v>0.0166666666666667</v>
      </c>
      <c r="K16" s="12" t="n">
        <v>0</v>
      </c>
      <c r="L16" s="12" t="n">
        <v>0</v>
      </c>
      <c r="M16" s="13" t="n">
        <v>0</v>
      </c>
      <c r="N16" s="12" t="n">
        <f aca="false">C16+K16+L16+IFERROR(M16/$M$36,0)</f>
        <v>200000</v>
      </c>
      <c r="O16" s="11" t="n">
        <f aca="false">N16/N$31</f>
        <v>0.0127059757792337</v>
      </c>
      <c r="Q16" s="13" t="n">
        <v>0</v>
      </c>
      <c r="R16" s="12" t="n">
        <f aca="false">IFERROR(Q16/$Q$39,0)</f>
        <v>0</v>
      </c>
      <c r="S16" s="12" t="n">
        <f aca="false">N16+R16</f>
        <v>200000</v>
      </c>
      <c r="T16" s="11" t="n">
        <f aca="false">S16/S$31</f>
        <v>0.00876274191671288</v>
      </c>
      <c r="U16" s="11" t="n">
        <f aca="false">IFERROR((T16-O16)/O16,0)</f>
        <v>-0.310344827586207</v>
      </c>
      <c r="W16" s="13" t="n">
        <f aca="false">S16*$Q$41/S$31</f>
        <v>2628822.57501386</v>
      </c>
    </row>
    <row r="17" customFormat="false" ht="15" hidden="false" customHeight="true" outlineLevel="0" collapsed="false">
      <c r="B17" s="9" t="s">
        <v>31</v>
      </c>
      <c r="C17" s="10" t="n">
        <v>150000</v>
      </c>
      <c r="D17" s="11" t="n">
        <f aca="false">C17/($C$31-$C$20-$C$26)</f>
        <v>0.0143540669856459</v>
      </c>
      <c r="E17" s="11" t="n">
        <f aca="false">C17/C$31</f>
        <v>0.0125</v>
      </c>
      <c r="K17" s="12" t="n">
        <v>0</v>
      </c>
      <c r="L17" s="12" t="n">
        <v>0</v>
      </c>
      <c r="M17" s="13" t="n">
        <v>0</v>
      </c>
      <c r="N17" s="12" t="n">
        <f aca="false">C17+K17+L17+IFERROR(M17/$M$36,0)</f>
        <v>150000</v>
      </c>
      <c r="O17" s="11" t="n">
        <f aca="false">N17/N$31</f>
        <v>0.00952948183442525</v>
      </c>
      <c r="Q17" s="13" t="n">
        <v>0</v>
      </c>
      <c r="R17" s="12" t="n">
        <f aca="false">IFERROR(Q17/$Q$39,0)</f>
        <v>0</v>
      </c>
      <c r="S17" s="12" t="n">
        <f aca="false">N17+R17</f>
        <v>150000</v>
      </c>
      <c r="T17" s="11" t="n">
        <f aca="false">S17/S$31</f>
        <v>0.00657205643753466</v>
      </c>
      <c r="U17" s="11" t="n">
        <f aca="false">IFERROR((T17-O17)/O17,0)</f>
        <v>-0.310344827586207</v>
      </c>
      <c r="W17" s="13" t="n">
        <f aca="false">S17*$Q$41/S$31</f>
        <v>1971616.9312604</v>
      </c>
    </row>
    <row r="18" customFormat="false" ht="15" hidden="false" customHeight="true" outlineLevel="0" collapsed="false">
      <c r="B18" s="9" t="s">
        <v>32</v>
      </c>
      <c r="C18" s="10" t="n">
        <v>100000</v>
      </c>
      <c r="D18" s="11" t="n">
        <f aca="false">C18/($C$31-$C$20-$C$26)</f>
        <v>0.00956937799043062</v>
      </c>
      <c r="E18" s="11" t="n">
        <f aca="false">C18/C$31</f>
        <v>0.00833333333333333</v>
      </c>
      <c r="K18" s="12" t="n">
        <v>0</v>
      </c>
      <c r="L18" s="12" t="n">
        <v>0</v>
      </c>
      <c r="M18" s="13" t="n">
        <v>0</v>
      </c>
      <c r="N18" s="12" t="n">
        <f aca="false">C18+K18+L18+IFERROR(M18/$M$36,0)</f>
        <v>100000</v>
      </c>
      <c r="O18" s="11" t="n">
        <f aca="false">N18/N$31</f>
        <v>0.00635298788961684</v>
      </c>
      <c r="Q18" s="13" t="n">
        <v>0</v>
      </c>
      <c r="R18" s="12" t="n">
        <f aca="false">IFERROR(Q18/$Q$39,0)</f>
        <v>0</v>
      </c>
      <c r="S18" s="12" t="n">
        <f aca="false">N18+R18</f>
        <v>100000</v>
      </c>
      <c r="T18" s="11" t="n">
        <f aca="false">S18/S$31</f>
        <v>0.00438137095835644</v>
      </c>
      <c r="U18" s="11" t="n">
        <f aca="false">IFERROR((T18-O18)/O18,0)</f>
        <v>-0.310344827586207</v>
      </c>
      <c r="W18" s="13" t="n">
        <f aca="false">S18*$Q$41/S$31</f>
        <v>1314411.28750693</v>
      </c>
    </row>
    <row r="19" customFormat="false" ht="15" hidden="false" customHeight="true" outlineLevel="0" collapsed="false">
      <c r="B19" s="9" t="s">
        <v>33</v>
      </c>
      <c r="C19" s="10" t="n">
        <v>0</v>
      </c>
      <c r="D19" s="11" t="n">
        <f aca="false">C19/($C$31-$C$20-$C$26)</f>
        <v>0</v>
      </c>
      <c r="E19" s="11" t="n">
        <f aca="false">C19/C$31</f>
        <v>0</v>
      </c>
      <c r="K19" s="12" t="n">
        <v>0</v>
      </c>
      <c r="L19" s="12" t="n">
        <v>0</v>
      </c>
      <c r="M19" s="13" t="n">
        <v>0</v>
      </c>
      <c r="N19" s="12" t="n">
        <f aca="false">C19+K19+L19+IFERROR(M19/$M$36,0)</f>
        <v>0</v>
      </c>
      <c r="O19" s="11" t="n">
        <f aca="false">N19/N$31</f>
        <v>0</v>
      </c>
      <c r="Q19" s="13" t="n">
        <v>0</v>
      </c>
      <c r="R19" s="12" t="n">
        <f aca="false">IFERROR(Q19/$Q$39,0)</f>
        <v>0</v>
      </c>
      <c r="S19" s="12" t="n">
        <f aca="false">N19+R19</f>
        <v>0</v>
      </c>
      <c r="T19" s="11" t="n">
        <f aca="false">S19/S$31</f>
        <v>0</v>
      </c>
      <c r="U19" s="11" t="n">
        <f aca="false">IFERROR((T19-O19)/O19,0)</f>
        <v>0</v>
      </c>
      <c r="W19" s="13" t="n">
        <f aca="false">S19*$Q$41/S$31</f>
        <v>0</v>
      </c>
    </row>
    <row r="20" customFormat="false" ht="15" hidden="false" customHeight="true" outlineLevel="0" collapsed="false">
      <c r="B20" s="9" t="s">
        <v>34</v>
      </c>
      <c r="C20" s="12" t="n">
        <f aca="false">C21-SUM(C16:C19)</f>
        <v>1550000</v>
      </c>
      <c r="E20" s="11" t="n">
        <f aca="false">C20/C$31</f>
        <v>0.129166666666667</v>
      </c>
      <c r="K20" s="12" t="n">
        <v>0</v>
      </c>
      <c r="L20" s="12" t="n">
        <f aca="false">L21</f>
        <v>0</v>
      </c>
      <c r="M20" s="13" t="n">
        <v>0</v>
      </c>
      <c r="N20" s="12" t="n">
        <f aca="false">C20+K20+L20+IFERROR(M20/$M$36,0)</f>
        <v>1550000</v>
      </c>
      <c r="O20" s="11" t="n">
        <f aca="false">N20/N$31</f>
        <v>0.098471312289061</v>
      </c>
      <c r="Q20" s="13" t="n">
        <v>0</v>
      </c>
      <c r="R20" s="12" t="n">
        <f aca="false">IFERROR(Q20/$Q$39,0)</f>
        <v>0</v>
      </c>
      <c r="S20" s="12" t="n">
        <f aca="false">N20+R20</f>
        <v>1550000</v>
      </c>
      <c r="T20" s="11" t="n">
        <f aca="false">S20/S$31</f>
        <v>0.0679112498545248</v>
      </c>
      <c r="U20" s="11" t="n">
        <f aca="false">IFERROR((T20-O20)/O20,0)</f>
        <v>-0.310344827586207</v>
      </c>
      <c r="W20" s="13" t="n">
        <f aca="false">S20*$Q$41/S$31</f>
        <v>20373374.9563574</v>
      </c>
    </row>
    <row r="21" customFormat="false" ht="15" hidden="false" customHeight="true" outlineLevel="0" collapsed="false">
      <c r="B21" s="14" t="s">
        <v>35</v>
      </c>
      <c r="C21" s="21" t="n">
        <v>2000000</v>
      </c>
      <c r="D21" s="16" t="n">
        <f aca="false">SUM(D16:D19)</f>
        <v>0.0430622009569378</v>
      </c>
      <c r="E21" s="16" t="n">
        <f aca="false">C21/C$31</f>
        <v>0.166666666666667</v>
      </c>
      <c r="K21" s="15" t="n">
        <f aca="false">SUM(K16:K19)+K20</f>
        <v>0</v>
      </c>
      <c r="L21" s="22" t="n">
        <f aca="false">MAX(0,$K$40*(C13+SUM(K23:K25)+IFERROR(M28/$M$36,0))/(1-$K$40)-C21)</f>
        <v>0</v>
      </c>
      <c r="M21" s="23" t="n">
        <v>0</v>
      </c>
      <c r="N21" s="15" t="n">
        <f aca="false">C21+K21+L21</f>
        <v>2000000</v>
      </c>
      <c r="O21" s="16" t="n">
        <f aca="false">N21/N$31</f>
        <v>0.127059757792337</v>
      </c>
      <c r="Q21" s="18" t="n">
        <v>0</v>
      </c>
      <c r="R21" s="12" t="n">
        <f aca="false">IFERROR(Q21/$Q$39,0)</f>
        <v>0</v>
      </c>
      <c r="S21" s="17" t="n">
        <f aca="false">N21+R21</f>
        <v>2000000</v>
      </c>
      <c r="T21" s="19" t="n">
        <f aca="false">S21/S$31</f>
        <v>0.0876274191671288</v>
      </c>
      <c r="U21" s="19" t="n">
        <f aca="false">IFERROR((T21-O21)/O21,0)</f>
        <v>-0.310344827586207</v>
      </c>
      <c r="W21" s="13" t="n">
        <f aca="false">S21*$Q$41/S$31</f>
        <v>26288225.7501386</v>
      </c>
    </row>
    <row r="22" customFormat="false" ht="15" hidden="false" customHeight="true" outlineLevel="0" collapsed="false">
      <c r="B22" s="7" t="s">
        <v>36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customFormat="false" ht="15" hidden="false" customHeight="true" outlineLevel="0" collapsed="false">
      <c r="B23" s="9" t="s">
        <v>37</v>
      </c>
      <c r="C23" s="12" t="n">
        <v>0</v>
      </c>
      <c r="G23" s="24" t="n">
        <v>250000</v>
      </c>
      <c r="H23" s="24" t="n">
        <v>4000000</v>
      </c>
      <c r="I23" s="25" t="n">
        <v>0.2</v>
      </c>
      <c r="K23" s="26" t="n">
        <f aca="false">IFERROR(G23/MIN(H23/C$31,M$42*(1-I23)),0)</f>
        <v>843750</v>
      </c>
      <c r="L23" s="12" t="n">
        <v>0</v>
      </c>
      <c r="M23" s="13" t="n">
        <v>0</v>
      </c>
      <c r="N23" s="12" t="n">
        <f aca="false">C23+K23+L23+IFERROR(M23/$M$36,0)</f>
        <v>843750</v>
      </c>
      <c r="O23" s="11" t="n">
        <f aca="false">N23/N$31</f>
        <v>0.0536033353186421</v>
      </c>
      <c r="Q23" s="13" t="n">
        <v>0</v>
      </c>
      <c r="R23" s="12" t="n">
        <f aca="false">IFERROR(Q23/$Q$39,0)</f>
        <v>0</v>
      </c>
      <c r="S23" s="12" t="n">
        <f aca="false">N23+R23</f>
        <v>843750</v>
      </c>
      <c r="T23" s="11" t="n">
        <f aca="false">S23/S$31</f>
        <v>0.0369678174611324</v>
      </c>
      <c r="U23" s="11" t="n">
        <f aca="false">IFERROR((T23-O23)/O23,0)</f>
        <v>-0.310344827586207</v>
      </c>
      <c r="W23" s="13" t="n">
        <f aca="false">S23*$Q$41/S$31</f>
        <v>11090345.2383397</v>
      </c>
      <c r="X23" s="27" t="n">
        <f aca="false">IFERROR(W23/G23,0)</f>
        <v>44.3613809533589</v>
      </c>
    </row>
    <row r="24" customFormat="false" ht="15" hidden="false" customHeight="true" outlineLevel="0" collapsed="false">
      <c r="B24" s="9" t="s">
        <v>38</v>
      </c>
      <c r="C24" s="12" t="n">
        <v>0</v>
      </c>
      <c r="G24" s="24" t="n">
        <v>150000</v>
      </c>
      <c r="H24" s="24" t="n">
        <v>4000000</v>
      </c>
      <c r="I24" s="25" t="n">
        <v>0.2</v>
      </c>
      <c r="K24" s="26" t="n">
        <f aca="false">IFERROR(G24/MIN(H24/C$31,M$42*(1-I24)),0)</f>
        <v>506250</v>
      </c>
      <c r="L24" s="12" t="n">
        <v>0</v>
      </c>
      <c r="M24" s="13" t="n">
        <v>0</v>
      </c>
      <c r="N24" s="12" t="n">
        <f aca="false">C24+K24+L24+IFERROR(M24/$M$36,0)</f>
        <v>506250</v>
      </c>
      <c r="O24" s="11" t="n">
        <f aca="false">N24/N$31</f>
        <v>0.0321620011911852</v>
      </c>
      <c r="Q24" s="13" t="n">
        <v>0</v>
      </c>
      <c r="R24" s="12" t="n">
        <f aca="false">IFERROR(Q24/$Q$39,0)</f>
        <v>0</v>
      </c>
      <c r="S24" s="12" t="n">
        <f aca="false">N24+R24</f>
        <v>506250</v>
      </c>
      <c r="T24" s="11" t="n">
        <f aca="false">S24/S$31</f>
        <v>0.0221806904766795</v>
      </c>
      <c r="U24" s="11" t="n">
        <f aca="false">IFERROR((T24-O24)/O24,0)</f>
        <v>-0.310344827586207</v>
      </c>
      <c r="W24" s="13" t="n">
        <f aca="false">S24*$Q$41/S$31</f>
        <v>6654207.14300384</v>
      </c>
      <c r="X24" s="27" t="n">
        <f aca="false">IFERROR(W24/G24,0)</f>
        <v>44.3613809533589</v>
      </c>
    </row>
    <row r="25" customFormat="false" ht="15" hidden="false" customHeight="true" outlineLevel="0" collapsed="false">
      <c r="B25" s="9" t="s">
        <v>39</v>
      </c>
      <c r="C25" s="12" t="n">
        <v>0</v>
      </c>
      <c r="G25" s="24" t="n">
        <v>100000</v>
      </c>
      <c r="H25" s="24" t="n">
        <v>4000000</v>
      </c>
      <c r="I25" s="25" t="n">
        <v>0.2</v>
      </c>
      <c r="K25" s="26" t="n">
        <f aca="false">IFERROR(G25/MIN(H25/C$31,M$42*(1-I25)),0)</f>
        <v>337500</v>
      </c>
      <c r="L25" s="12" t="n">
        <v>0</v>
      </c>
      <c r="M25" s="13" t="n">
        <v>0</v>
      </c>
      <c r="N25" s="12" t="n">
        <f aca="false">C25+K25+L25+IFERROR(M25/$M$36,0)</f>
        <v>337500</v>
      </c>
      <c r="O25" s="11" t="n">
        <f aca="false">N25/N$31</f>
        <v>0.0214413341274568</v>
      </c>
      <c r="Q25" s="13" t="n">
        <v>0</v>
      </c>
      <c r="R25" s="12" t="n">
        <f aca="false">IFERROR(Q25/$Q$39,0)</f>
        <v>0</v>
      </c>
      <c r="S25" s="12" t="n">
        <f aca="false">N25+R25</f>
        <v>337500</v>
      </c>
      <c r="T25" s="11" t="n">
        <f aca="false">S25/S$31</f>
        <v>0.014787126984453</v>
      </c>
      <c r="U25" s="11" t="n">
        <f aca="false">IFERROR((T25-O25)/O25,0)</f>
        <v>-0.310344827586207</v>
      </c>
      <c r="W25" s="13" t="n">
        <f aca="false">S25*$Q$41/S$31</f>
        <v>4436138.09533589</v>
      </c>
      <c r="X25" s="27" t="n">
        <f aca="false">IFERROR(W25/G25,0)</f>
        <v>44.3613809533589</v>
      </c>
    </row>
    <row r="26" customFormat="false" ht="15" hidden="false" customHeight="true" outlineLevel="0" collapsed="false">
      <c r="B26" s="14" t="s">
        <v>40</v>
      </c>
      <c r="C26" s="28"/>
      <c r="D26" s="28"/>
      <c r="E26" s="28"/>
      <c r="F26" s="28"/>
      <c r="G26" s="23" t="n">
        <f aca="false">SUM(G23:G25)</f>
        <v>500000</v>
      </c>
      <c r="H26" s="28"/>
      <c r="I26" s="28"/>
      <c r="K26" s="17" t="n">
        <f aca="false">SUM(K23:K25)</f>
        <v>1687500</v>
      </c>
      <c r="L26" s="17" t="n">
        <f aca="false">SUM(L23:L25)</f>
        <v>0</v>
      </c>
      <c r="M26" s="18" t="n">
        <f aca="false">SUM(M23:M25)</f>
        <v>0</v>
      </c>
      <c r="N26" s="17" t="n">
        <f aca="false">SUM(N23:N25)</f>
        <v>1687500</v>
      </c>
      <c r="O26" s="19" t="n">
        <f aca="false">N26/N$31</f>
        <v>0.107206670637284</v>
      </c>
      <c r="Q26" s="18" t="n">
        <f aca="false">SUM(Q23:Q25)</f>
        <v>0</v>
      </c>
      <c r="R26" s="12" t="n">
        <f aca="false">IFERROR(Q26/$Q$39,0)</f>
        <v>0</v>
      </c>
      <c r="S26" s="17" t="n">
        <f aca="false">SUM(S23:S25)</f>
        <v>1687500</v>
      </c>
      <c r="T26" s="19" t="n">
        <f aca="false">S26/S$31</f>
        <v>0.0739356349222649</v>
      </c>
      <c r="W26" s="13" t="n">
        <f aca="false">S26*$Q$41/S$31</f>
        <v>22180690.4766795</v>
      </c>
      <c r="X26" s="27" t="n">
        <f aca="false">IFERROR(W26/G26,0)</f>
        <v>44.3613809533589</v>
      </c>
    </row>
    <row r="27" customFormat="false" ht="15" hidden="false" customHeight="true" outlineLevel="0" collapsed="false">
      <c r="B27" s="7" t="s">
        <v>41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customFormat="false" ht="15" hidden="false" customHeight="true" outlineLevel="0" collapsed="false">
      <c r="B28" s="9" t="s">
        <v>42</v>
      </c>
      <c r="C28" s="12" t="n">
        <v>0</v>
      </c>
      <c r="K28" s="12" t="n">
        <v>0</v>
      </c>
      <c r="L28" s="12" t="n">
        <v>0</v>
      </c>
      <c r="M28" s="24" t="n">
        <v>750000</v>
      </c>
      <c r="N28" s="12" t="n">
        <f aca="false">C28+K28+L28+IFERROR(M28/$M$36,0)</f>
        <v>2053125</v>
      </c>
      <c r="O28" s="11" t="n">
        <f aca="false">N28/N$31</f>
        <v>0.130434782608696</v>
      </c>
      <c r="Q28" s="13" t="n">
        <v>0</v>
      </c>
      <c r="R28" s="12" t="n">
        <f aca="false">IFERROR(Q28/$Q$39,0)</f>
        <v>0</v>
      </c>
      <c r="S28" s="12" t="n">
        <f aca="false">N28+R28</f>
        <v>2053125</v>
      </c>
      <c r="T28" s="11" t="n">
        <f aca="false">S28/S$31</f>
        <v>0.0899550224887556</v>
      </c>
      <c r="U28" s="11" t="n">
        <f aca="false">IFERROR((T28-O28)/O28,0)</f>
        <v>-0.310344827586207</v>
      </c>
      <c r="W28" s="13" t="n">
        <f aca="false">S28*$Q$41/S$31</f>
        <v>26986506.7466267</v>
      </c>
      <c r="X28" s="27" t="n">
        <f aca="false">IFERROR(W28/M28,0)</f>
        <v>35.9820089955023</v>
      </c>
    </row>
    <row r="29" customFormat="false" ht="15" hidden="false" customHeight="true" outlineLevel="0" collapsed="false">
      <c r="B29" s="7" t="s">
        <v>43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customFormat="false" ht="15" hidden="false" customHeight="true" outlineLevel="0" collapsed="false">
      <c r="B30" s="9" t="s">
        <v>44</v>
      </c>
      <c r="C30" s="12" t="n">
        <v>0</v>
      </c>
      <c r="K30" s="12" t="n">
        <v>0</v>
      </c>
      <c r="L30" s="12" t="n">
        <v>0</v>
      </c>
      <c r="M30" s="13" t="n">
        <v>0</v>
      </c>
      <c r="N30" s="12" t="n">
        <f aca="false">C30+K30+L30+IFERROR(M30/$M$36,0)</f>
        <v>0</v>
      </c>
      <c r="O30" s="11" t="n">
        <f aca="false">N30/N$31</f>
        <v>0</v>
      </c>
      <c r="Q30" s="24" t="n">
        <v>18000000</v>
      </c>
      <c r="R30" s="12" t="n">
        <f aca="false">IFERROR(Q30/$Q$39,0)</f>
        <v>7083281.25</v>
      </c>
      <c r="S30" s="12" t="n">
        <f aca="false">N30+R30</f>
        <v>7083281.25</v>
      </c>
      <c r="T30" s="11" t="n">
        <f aca="false">S30/S$31</f>
        <v>0.310344827586207</v>
      </c>
      <c r="U30" s="11" t="n">
        <f aca="false">IFERROR((T30-O30)/O30,0)</f>
        <v>0</v>
      </c>
      <c r="W30" s="13" t="n">
        <f aca="false">S30*$Q$41/S$31</f>
        <v>93103448.2758621</v>
      </c>
      <c r="X30" s="27" t="n">
        <f aca="false">IFERROR(W30/Q30,0)</f>
        <v>5.17241379310345</v>
      </c>
    </row>
    <row r="31" customFormat="false" ht="15" hidden="false" customHeight="true" outlineLevel="0" collapsed="false">
      <c r="B31" s="29" t="s">
        <v>45</v>
      </c>
      <c r="C31" s="30" t="n">
        <f aca="false">C13+C21+C26+C28+C30</f>
        <v>12000000</v>
      </c>
      <c r="D31" s="31" t="n">
        <f aca="false">D13+D21</f>
        <v>1</v>
      </c>
      <c r="E31" s="31" t="n">
        <f aca="false">E13+E21+E26+E28+E30</f>
        <v>1</v>
      </c>
      <c r="F31" s="32"/>
      <c r="G31" s="33" t="n">
        <f aca="false">G26</f>
        <v>500000</v>
      </c>
      <c r="H31" s="32"/>
      <c r="I31" s="32"/>
      <c r="J31" s="32"/>
      <c r="K31" s="30" t="n">
        <f aca="false">K13+K21+K26+K28+K30</f>
        <v>1687500</v>
      </c>
      <c r="L31" s="30" t="n">
        <f aca="false">L13+L21+L26+L28+L30</f>
        <v>0</v>
      </c>
      <c r="M31" s="33" t="n">
        <f aca="false">M13+M21+M26+M28+M30</f>
        <v>750000</v>
      </c>
      <c r="N31" s="30" t="n">
        <f aca="false">N13+N21+N26+N28+N30</f>
        <v>15740625</v>
      </c>
      <c r="O31" s="31" t="n">
        <f aca="false">O13+O21+O26+O28+O30</f>
        <v>1</v>
      </c>
      <c r="P31" s="32"/>
      <c r="Q31" s="33" t="n">
        <f aca="false">Q13+Q21+Q26+Q28+Q30</f>
        <v>18000000</v>
      </c>
      <c r="R31" s="30" t="n">
        <f aca="false">R13+R21+R26+R28+R30</f>
        <v>7083281.25</v>
      </c>
      <c r="S31" s="30" t="n">
        <f aca="false">S13+S21+S26+S28+S30</f>
        <v>22823906.25</v>
      </c>
      <c r="T31" s="31" t="n">
        <f aca="false">T13+T21+T26+T28+T30</f>
        <v>1</v>
      </c>
      <c r="U31" s="32"/>
      <c r="V31" s="32"/>
      <c r="W31" s="33" t="n">
        <f aca="false">W13+W21+W26+W28+W30</f>
        <v>300000000</v>
      </c>
      <c r="X31" s="32"/>
    </row>
    <row r="33" customFormat="false" ht="15" hidden="false" customHeight="true" outlineLevel="0" collapsed="false">
      <c r="B33" s="34" t="s">
        <v>46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customFormat="false" ht="15" hidden="false" customHeight="true" outlineLevel="0" collapsed="false">
      <c r="B34" s="9" t="s">
        <v>47</v>
      </c>
      <c r="C34" s="36" t="s">
        <v>48</v>
      </c>
    </row>
    <row r="35" customFormat="false" ht="15" hidden="false" customHeight="true" outlineLevel="0" collapsed="false">
      <c r="B35" s="9" t="s">
        <v>49</v>
      </c>
      <c r="K35" s="37"/>
      <c r="M35" s="38" t="n">
        <v>5000000</v>
      </c>
    </row>
    <row r="36" customFormat="false" ht="15" hidden="false" customHeight="true" outlineLevel="0" collapsed="false">
      <c r="B36" s="9" t="s">
        <v>50</v>
      </c>
      <c r="M36" s="39" t="n">
        <f aca="false">M35/(C13+C21+SUM(K23:K25))</f>
        <v>0.365296803652968</v>
      </c>
    </row>
    <row r="37" customFormat="false" ht="15" hidden="false" customHeight="true" outlineLevel="0" collapsed="false">
      <c r="B37" s="9" t="s">
        <v>51</v>
      </c>
      <c r="M37" s="13" t="n">
        <f aca="false">M35+M28</f>
        <v>5750000</v>
      </c>
    </row>
    <row r="38" customFormat="false" ht="15" hidden="false" customHeight="true" outlineLevel="0" collapsed="false">
      <c r="B38" s="9" t="s">
        <v>52</v>
      </c>
      <c r="Q38" s="38" t="n">
        <v>40000000</v>
      </c>
    </row>
    <row r="39" customFormat="false" ht="15" hidden="false" customHeight="true" outlineLevel="0" collapsed="false">
      <c r="B39" s="9" t="s">
        <v>53</v>
      </c>
      <c r="Q39" s="39" t="n">
        <f aca="false">Q38/N31</f>
        <v>2.54119515584673</v>
      </c>
    </row>
    <row r="40" customFormat="false" ht="15" hidden="false" customHeight="true" outlineLevel="0" collapsed="false">
      <c r="B40" s="9" t="s">
        <v>54</v>
      </c>
      <c r="K40" s="40" t="n">
        <v>0.1</v>
      </c>
    </row>
    <row r="41" customFormat="false" ht="15" hidden="false" customHeight="true" outlineLevel="0" collapsed="false">
      <c r="B41" s="9" t="s">
        <v>55</v>
      </c>
      <c r="Q41" s="38" t="n">
        <v>300000000</v>
      </c>
    </row>
    <row r="42" customFormat="false" ht="15" hidden="false" customHeight="false" outlineLevel="0" collapsed="false">
      <c r="B42" s="41" t="s">
        <v>56</v>
      </c>
      <c r="M42" s="42" t="n">
        <f aca="false">M35/(C13+C21+C$31*(IFERROR(G23/H23,0)+IFERROR(G24/H24,0)+IFERROR(G25/H25,0)))</f>
        <v>0.37037037037037</v>
      </c>
    </row>
    <row r="43" customFormat="false" ht="15" hidden="false" customHeight="true" outlineLevel="0" collapsed="false">
      <c r="B43" s="43" t="s">
        <v>57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</row>
    <row r="44" customFormat="false" ht="15" hidden="false" customHeight="true" outlineLevel="0" collapsed="false">
      <c r="B44" s="9" t="s">
        <v>58</v>
      </c>
      <c r="E44" s="45" t="str">
        <f aca="false">IF(ROUND(E31,4)=1,"OK","FAIL: "&amp;TEXT(E31,"0.00%"))</f>
        <v>OK</v>
      </c>
    </row>
    <row r="45" customFormat="false" ht="15" hidden="false" customHeight="true" outlineLevel="0" collapsed="false">
      <c r="B45" s="9" t="s">
        <v>59</v>
      </c>
      <c r="O45" s="45" t="str">
        <f aca="false">IF(ROUND(O31,4)=1,"OK","FAIL: "&amp;TEXT(O31,"0.00%"))</f>
        <v>OK</v>
      </c>
    </row>
    <row r="46" customFormat="false" ht="15" hidden="false" customHeight="true" outlineLevel="0" collapsed="false">
      <c r="B46" s="9" t="s">
        <v>60</v>
      </c>
      <c r="T46" s="45" t="str">
        <f aca="false">IF(ROUND(T31,4)=1,"OK","FAIL: "&amp;TEXT(T31,"0.00%"))</f>
        <v>OK</v>
      </c>
    </row>
    <row r="47" customFormat="false" ht="15" hidden="false" customHeight="true" outlineLevel="0" collapsed="false">
      <c r="B47" s="9" t="s">
        <v>61</v>
      </c>
      <c r="O47" s="45" t="str">
        <f aca="false">IF(ROUND(O21,4)&gt;=ROUND($K$40,4),"OK ("&amp;TEXT(O21,"0.0%")&amp;")","SHORT: "&amp;TEXT(O21,"0.0%")&amp;" vs "&amp;TEXT($K$40,"0.0%"))</f>
        <v>OK (12.7%)</v>
      </c>
    </row>
    <row r="48" customFormat="false" ht="15" hidden="false" customHeight="true" outlineLevel="0" collapsed="false">
      <c r="B48" s="9" t="s">
        <v>62</v>
      </c>
      <c r="O48" s="45" t="str">
        <f aca="false">IF(ROUND(M31,0)=ROUND(M28,0),"OK","FAIL")</f>
        <v>OK</v>
      </c>
    </row>
    <row r="49" customFormat="false" ht="15" hidden="false" customHeight="true" outlineLevel="0" collapsed="false">
      <c r="B49" s="9" t="s">
        <v>63</v>
      </c>
      <c r="T49" s="45" t="str">
        <f aca="false">IF(ROUND(Q31,0)=ROUND(Q30,0),"OK","FAIL")</f>
        <v>OK</v>
      </c>
    </row>
  </sheetData>
  <mergeCells count="6">
    <mergeCell ref="B4:X4"/>
    <mergeCell ref="B6:E6"/>
    <mergeCell ref="G6:I6"/>
    <mergeCell ref="K6:O6"/>
    <mergeCell ref="Q6:U6"/>
    <mergeCell ref="W6:X6"/>
  </mergeCells>
  <printOptions headings="false" gridLines="false" gridLinesSet="true" horizontalCentered="tru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2026-05-26T18:51:55Z</dcterms:created>
  <dc:creator>openpyxl</dc:creator>
  <dc:description/>
  <dc:language>en-US</dc:language>
  <cp:lastModifiedBy>Gaetan Brillaud</cp:lastModifiedBy>
  <dcterms:modified xsi:type="dcterms:W3CDTF">2026-05-26T20:57:04Z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